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enden.local\dfs\user01\USR\GKRIJGSH\aansluiting mbo hbo bedrijfseconomi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1" i="1" l="1"/>
  <c r="E218" i="1" s="1"/>
  <c r="E220" i="1" s="1"/>
  <c r="E222" i="1" s="1"/>
  <c r="D228" i="1"/>
  <c r="E226" i="1"/>
  <c r="E221" i="1"/>
  <c r="D222" i="1"/>
  <c r="G220" i="1"/>
  <c r="F220" i="1"/>
  <c r="D220" i="1"/>
  <c r="G218" i="1"/>
  <c r="F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E214" i="1"/>
  <c r="D214" i="1"/>
  <c r="G211" i="1"/>
  <c r="F211" i="1"/>
  <c r="D211" i="1"/>
  <c r="E210" i="1"/>
  <c r="G209" i="1"/>
  <c r="F209" i="1"/>
  <c r="E209" i="1"/>
  <c r="D209" i="1"/>
  <c r="E202" i="1"/>
  <c r="E201" i="1"/>
  <c r="E200" i="1"/>
  <c r="E199" i="1"/>
  <c r="E197" i="1"/>
  <c r="F197" i="1"/>
  <c r="D195" i="1"/>
  <c r="D196" i="1" s="1"/>
  <c r="C195" i="1"/>
  <c r="C196" i="1" s="1"/>
  <c r="G195" i="1"/>
  <c r="P197" i="1"/>
  <c r="N197" i="1"/>
  <c r="L197" i="1"/>
  <c r="J197" i="1"/>
  <c r="P196" i="1"/>
  <c r="O196" i="1"/>
  <c r="N196" i="1"/>
  <c r="M196" i="1"/>
  <c r="O197" i="1" s="1"/>
  <c r="L196" i="1"/>
  <c r="K196" i="1"/>
  <c r="M197" i="1" s="1"/>
  <c r="J196" i="1"/>
  <c r="I196" i="1"/>
  <c r="K197" i="1" s="1"/>
  <c r="H196" i="1"/>
  <c r="G196" i="1"/>
  <c r="I197" i="1" s="1"/>
  <c r="F196" i="1"/>
  <c r="H197" i="1" s="1"/>
  <c r="E196" i="1"/>
  <c r="G197" i="1" s="1"/>
  <c r="P195" i="1"/>
  <c r="O195" i="1"/>
  <c r="N195" i="1"/>
  <c r="M195" i="1"/>
  <c r="L195" i="1"/>
  <c r="K195" i="1"/>
  <c r="J195" i="1"/>
  <c r="I195" i="1"/>
  <c r="H195" i="1"/>
  <c r="F195" i="1"/>
  <c r="E195" i="1"/>
  <c r="E174" i="1"/>
  <c r="E176" i="1"/>
  <c r="E175" i="1"/>
  <c r="E177" i="1" s="1"/>
  <c r="E173" i="1"/>
  <c r="E172" i="1"/>
  <c r="E171" i="1"/>
  <c r="E170" i="1"/>
  <c r="F165" i="1"/>
  <c r="F162" i="1"/>
  <c r="F161" i="1"/>
  <c r="F160" i="1"/>
  <c r="F159" i="1"/>
  <c r="F153" i="1"/>
  <c r="F146" i="1"/>
  <c r="F135" i="1"/>
  <c r="F134" i="1"/>
  <c r="F122" i="1"/>
  <c r="F125" i="1"/>
  <c r="F123" i="1"/>
  <c r="F133" i="1" s="1"/>
  <c r="F152" i="1" s="1"/>
  <c r="F121" i="1"/>
  <c r="F124" i="1"/>
  <c r="F120" i="1"/>
  <c r="F132" i="1" s="1"/>
  <c r="E105" i="1"/>
  <c r="E101" i="1"/>
  <c r="E98" i="1"/>
  <c r="E104" i="1" s="1"/>
  <c r="E106" i="1" s="1"/>
  <c r="E108" i="1" s="1"/>
  <c r="B91" i="1"/>
  <c r="E85" i="1"/>
  <c r="E84" i="1"/>
  <c r="E86" i="1" s="1"/>
  <c r="E88" i="1" s="1"/>
  <c r="E91" i="1" s="1"/>
  <c r="E94" i="1" s="1"/>
  <c r="E80" i="1"/>
  <c r="D75" i="1"/>
  <c r="E76" i="1" s="1"/>
  <c r="E77" i="1" s="1"/>
  <c r="B92" i="1" s="1"/>
  <c r="B111" i="1" s="1"/>
  <c r="B113" i="1" s="1"/>
  <c r="E66" i="1"/>
  <c r="E65" i="1"/>
  <c r="E67" i="1" s="1"/>
  <c r="E69" i="1" s="1"/>
  <c r="E53" i="1"/>
  <c r="F61" i="1"/>
  <c r="F59" i="1"/>
  <c r="E57" i="1"/>
  <c r="E52" i="1"/>
  <c r="E54" i="1" s="1"/>
  <c r="C46" i="1"/>
  <c r="F44" i="1"/>
  <c r="F42" i="1"/>
  <c r="F43" i="1"/>
  <c r="E30" i="1"/>
  <c r="E17" i="1"/>
  <c r="E22" i="1" s="1"/>
  <c r="E11" i="1"/>
  <c r="E4" i="1"/>
  <c r="E8" i="1" s="1"/>
  <c r="E12" i="1" s="1"/>
  <c r="E223" i="1" l="1"/>
  <c r="E227" i="1" s="1"/>
  <c r="E228" i="1" s="1"/>
  <c r="F226" i="1" s="1"/>
  <c r="F151" i="1"/>
  <c r="F139" i="1"/>
  <c r="F147" i="1" s="1"/>
  <c r="F154" i="1" s="1"/>
  <c r="F45" i="1"/>
  <c r="F46" i="1" s="1"/>
  <c r="E111" i="1"/>
  <c r="E113" i="1" s="1"/>
  <c r="F129" i="1"/>
  <c r="F126" i="1"/>
  <c r="F136" i="1"/>
  <c r="B94" i="1"/>
  <c r="E13" i="1"/>
  <c r="E20" i="1"/>
  <c r="E23" i="1"/>
  <c r="E24" i="1" s="1"/>
  <c r="E32" i="1" s="1"/>
  <c r="E35" i="1" s="1"/>
  <c r="E224" i="1" l="1"/>
  <c r="F221" i="1" s="1"/>
  <c r="F222" i="1" s="1"/>
  <c r="F155" i="1"/>
  <c r="E36" i="1"/>
  <c r="E37" i="1" s="1"/>
  <c r="F224" i="1" l="1"/>
  <c r="G221" i="1" s="1"/>
  <c r="G222" i="1" s="1"/>
  <c r="F223" i="1"/>
  <c r="F227" i="1" s="1"/>
  <c r="F228" i="1" s="1"/>
  <c r="G226" i="1" s="1"/>
  <c r="G223" i="1" l="1"/>
  <c r="G227" i="1" s="1"/>
  <c r="G228" i="1"/>
  <c r="G224" i="1" l="1"/>
</calcChain>
</file>

<file path=xl/comments1.xml><?xml version="1.0" encoding="utf-8"?>
<comments xmlns="http://schemas.openxmlformats.org/spreadsheetml/2006/main">
  <authors>
    <author>Greetje Krijgsheld</author>
  </authors>
  <commentList>
    <comment ref="A184" authorId="0" shapeId="0">
      <text>
        <r>
          <rPr>
            <b/>
            <sz val="9"/>
            <color indexed="81"/>
            <rFont val="Tahoma"/>
            <family val="2"/>
          </rPr>
          <t>Greetje Krijgsheld: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<sst xmlns="http://schemas.openxmlformats.org/spreadsheetml/2006/main" count="226" uniqueCount="180">
  <si>
    <t>Uitwerking vraagstukken hoofdstuk 2</t>
  </si>
  <si>
    <t>V 2.1</t>
  </si>
  <si>
    <t>grondstofkosten</t>
  </si>
  <si>
    <t>0,03 x € 600</t>
  </si>
  <si>
    <t>kosten machine uren: 2 x €35</t>
  </si>
  <si>
    <t>overige productiekosten</t>
  </si>
  <si>
    <t>kostprijs per tafel:</t>
  </si>
  <si>
    <t>Bij verkoop en productie van 100 tafels:</t>
  </si>
  <si>
    <t>omzet</t>
  </si>
  <si>
    <t>kosten</t>
  </si>
  <si>
    <t>winst (resultaat)</t>
  </si>
  <si>
    <t>V 2.2</t>
  </si>
  <si>
    <t>a</t>
  </si>
  <si>
    <t>omzet inclusief btw</t>
  </si>
  <si>
    <t>omzet exclusief btw</t>
  </si>
  <si>
    <t>bruto winst 60% van de omzet</t>
  </si>
  <si>
    <t>a.</t>
  </si>
  <si>
    <t xml:space="preserve">b. </t>
  </si>
  <si>
    <t>inkoopwaarde van de omzet</t>
  </si>
  <si>
    <t>overige kosten</t>
  </si>
  <si>
    <t>loonkosten</t>
  </si>
  <si>
    <t>huisvestingskosten</t>
  </si>
  <si>
    <t>administratiekosten</t>
  </si>
  <si>
    <t>interestkosten</t>
  </si>
  <si>
    <t>afschrijvingskosten</t>
  </si>
  <si>
    <t>bedrijfsresultaat (EBIT)</t>
  </si>
  <si>
    <t>c.</t>
  </si>
  <si>
    <t>netto resultaat voor belasting</t>
  </si>
  <si>
    <t>vpb 34%</t>
  </si>
  <si>
    <t>netto resultaat na belasting</t>
  </si>
  <si>
    <t>V 2.3</t>
  </si>
  <si>
    <t>Debet:</t>
  </si>
  <si>
    <t>Pand</t>
  </si>
  <si>
    <t>Inrichting</t>
  </si>
  <si>
    <t>Voorraad</t>
  </si>
  <si>
    <t>Crediteuren</t>
  </si>
  <si>
    <t>(hypothecaire) lening</t>
  </si>
  <si>
    <t>Eigen vermogen</t>
  </si>
  <si>
    <t>Kas</t>
  </si>
  <si>
    <t>Credit</t>
  </si>
  <si>
    <t>V 2.4</t>
  </si>
  <si>
    <t>Kortlopende banklening</t>
  </si>
  <si>
    <t>RC krediet</t>
  </si>
  <si>
    <t>geldontvangsten in februari 2015:</t>
  </si>
  <si>
    <t>contante verkopen februari</t>
  </si>
  <si>
    <t>ontvangen uit verkopen januari</t>
  </si>
  <si>
    <t>totaal ontvangen:</t>
  </si>
  <si>
    <t>b</t>
  </si>
  <si>
    <t>gelduitgaven in februari 2015:</t>
  </si>
  <si>
    <t>inkopen in januari 2015</t>
  </si>
  <si>
    <t>(inkopen uit januari worden in februari betaald; in januari wordt ingekocht voor maart, 2 maanden van te voren)</t>
  </si>
  <si>
    <t>Debiteuren per 31-3: verkopen in maart op rekening:</t>
  </si>
  <si>
    <t>d.</t>
  </si>
  <si>
    <t>Crediteuren per 31-12-14: inkopen in december 2014:</t>
  </si>
  <si>
    <t>(waarde inkopen is 60% van de omzet)</t>
  </si>
  <si>
    <t>in december wordt ingekocht voor februari (2 maanden van te voren; waarde inkopen is 60% van de omzet)</t>
  </si>
  <si>
    <t>V 2.5</t>
  </si>
  <si>
    <t>inkoopwaarde omzet</t>
  </si>
  <si>
    <t>Bruto winst</t>
  </si>
  <si>
    <t>huur</t>
  </si>
  <si>
    <t>netto resultaat</t>
  </si>
  <si>
    <t>toename liquide middelen door lening</t>
  </si>
  <si>
    <t>afname:</t>
  </si>
  <si>
    <t>ijsjes</t>
  </si>
  <si>
    <t>toename liquide middelen</t>
  </si>
  <si>
    <t>c</t>
  </si>
  <si>
    <t>ontvangsten uit verkoop</t>
  </si>
  <si>
    <t>is ook toename aangezien er geen uitgaven plaats vinden</t>
  </si>
  <si>
    <t>d</t>
  </si>
  <si>
    <t>bruto winst</t>
  </si>
  <si>
    <t>e</t>
  </si>
  <si>
    <t>voorraad</t>
  </si>
  <si>
    <t>kas</t>
  </si>
  <si>
    <t>eigen vermogen</t>
  </si>
  <si>
    <t>lening</t>
  </si>
  <si>
    <t>f</t>
  </si>
  <si>
    <t>toename door verkoop</t>
  </si>
  <si>
    <t>afname door aflossing</t>
  </si>
  <si>
    <t>afname door rente</t>
  </si>
  <si>
    <t>verandering liquide middelen</t>
  </si>
  <si>
    <t>g</t>
  </si>
  <si>
    <t>rente</t>
  </si>
  <si>
    <t>resultaat</t>
  </si>
  <si>
    <t>h</t>
  </si>
  <si>
    <t>V 2.6</t>
  </si>
  <si>
    <t>investeringsbegroting (overzicht van aan te schaffen activa):</t>
  </si>
  <si>
    <t>Voorraden</t>
  </si>
  <si>
    <t>Verbouwing</t>
  </si>
  <si>
    <t>Inventaris</t>
  </si>
  <si>
    <t>voorgefinancierde BTW</t>
  </si>
  <si>
    <t>Vooruitbetaalde kosten (advertentie, opening)</t>
  </si>
  <si>
    <t>Liquide middelen</t>
  </si>
  <si>
    <t>OF:</t>
  </si>
  <si>
    <t>Plafond  (mag ook bij verbouwing opgeteld worden)</t>
  </si>
  <si>
    <t>(inclusief verbouwing en plafond)</t>
  </si>
  <si>
    <t>Geactiveerde kosten</t>
  </si>
  <si>
    <t>Beschikbaar vermogen:</t>
  </si>
  <si>
    <t xml:space="preserve">Eigen vermogen </t>
  </si>
  <si>
    <t>ontbrekende vermogen:</t>
  </si>
  <si>
    <t>Keuze voor vermogensvormen vrij!!!</t>
  </si>
  <si>
    <t>Bijvoorbeeld:</t>
  </si>
  <si>
    <t>Hypothecaire lening</t>
  </si>
  <si>
    <t>rekening courant krediet</t>
  </si>
  <si>
    <t>Langlopende lening voor inventaris</t>
  </si>
  <si>
    <t>leverancierskrediet voor voorraden</t>
  </si>
  <si>
    <t>Leverancierskrediet onderdelen</t>
  </si>
  <si>
    <t>Langlopende lening omdat pand niet direct weer verkocht kan worden (vaste activa); hypothecaire lening vanwege onderpand goedkoper dan andere langlopende leningen</t>
  </si>
  <si>
    <t>Langlopende lening omdat inventaris niet direct weer verkocht kan worden (vaste activa); hypothecaire lening kan niet voor inventaris</t>
  </si>
  <si>
    <t>Kortlopende lening omdat door verkopen van de voorraden (reparaties) geld snel weer wordt terugverdiend</t>
  </si>
  <si>
    <t>kortlopende lening voor bijvoorbeeld voorgefinancierde btw (dit wordt snel weer terugontvangen van de belastingdienst)</t>
  </si>
  <si>
    <t>Hyp. Lening</t>
  </si>
  <si>
    <t>Langl. Lening</t>
  </si>
  <si>
    <t>RC kredit</t>
  </si>
  <si>
    <t>V 2.7</t>
  </si>
  <si>
    <t>Omzet</t>
  </si>
  <si>
    <t>Inkoopwaarde omzet</t>
  </si>
  <si>
    <t>Salariskosten</t>
  </si>
  <si>
    <t>Afschrijvingskosten</t>
  </si>
  <si>
    <t>Overige kosten (geactiveerde kosten)</t>
  </si>
  <si>
    <t>EBIT</t>
  </si>
  <si>
    <t>Netto resultaat</t>
  </si>
  <si>
    <t>V 2.8</t>
  </si>
  <si>
    <t>Je kunt meer eigen vermogen bijeen brengen dan in een eenmanszaak</t>
  </si>
  <si>
    <t>Je kunt taken en verantwoordelijkheden delen (verschillende vennoten kunnen elkaar aanvullen)</t>
  </si>
  <si>
    <t>Alle vennoten zijn ondernemer en hebben voordelen in de inkomstenbelasting</t>
  </si>
  <si>
    <t>Weinig vereisten voor oprichting (eenoudig op te richten)</t>
  </si>
  <si>
    <t>Geen minimum kapitaal vereist</t>
  </si>
  <si>
    <t>…</t>
  </si>
  <si>
    <t>Nadelen:</t>
  </si>
  <si>
    <t>Alle vennoten zijn voor geheel vermogen (inclusief privé vermogen) aansprakelijk voor de schulden</t>
  </si>
  <si>
    <t>Je moet zeggenschap delen; eens zijn met elkaar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</si>
  <si>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</si>
  <si>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</si>
  <si>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</si>
  <si>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</si>
  <si>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</si>
  <si>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</si>
  <si>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</si>
  <si>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</si>
  <si>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</si>
  <si>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</si>
  <si>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</si>
  <si>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</si>
  <si>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incl. btw</t>
  </si>
  <si>
    <t>ontvangen:</t>
  </si>
  <si>
    <t>totaal per kwartaal:</t>
  </si>
  <si>
    <t>I</t>
  </si>
  <si>
    <t>II</t>
  </si>
  <si>
    <t>III</t>
  </si>
  <si>
    <t>Iv</t>
  </si>
  <si>
    <t>V 2.11</t>
  </si>
  <si>
    <t>IV</t>
  </si>
  <si>
    <t>Ontvangsten:</t>
  </si>
  <si>
    <t>Uitgaven:</t>
  </si>
  <si>
    <t>crediteuren</t>
  </si>
  <si>
    <t>bruto lonen</t>
  </si>
  <si>
    <t>vakantiegeld</t>
  </si>
  <si>
    <t>sociale lasten</t>
  </si>
  <si>
    <t>VPB</t>
  </si>
  <si>
    <t>winstuitkering</t>
  </si>
  <si>
    <t>aanschaf auto</t>
  </si>
  <si>
    <t>aflossingen</t>
  </si>
  <si>
    <t>Interest</t>
  </si>
  <si>
    <t>overige bedrijfskosten</t>
  </si>
  <si>
    <t>netto ontvangsten/uitgaven</t>
  </si>
  <si>
    <t>totaal uitgaven</t>
  </si>
  <si>
    <t>beginsaldo kas</t>
  </si>
  <si>
    <t>eindsaldo kas</t>
  </si>
  <si>
    <t>toename/afname RC krediet</t>
  </si>
  <si>
    <t>beginsaldo RC krediet</t>
  </si>
  <si>
    <t>eindsaldo RC krediet</t>
  </si>
  <si>
    <t>opname RC krediet</t>
  </si>
  <si>
    <t>b.</t>
  </si>
  <si>
    <t>Er ontstaan problemen in kwartaal III: maximaal RC krediet wordt overschreden.</t>
  </si>
  <si>
    <t>Een oplossing zou kunnen zijn: de auto financieren met een  langlopende lening</t>
  </si>
  <si>
    <t>andere oplossingen zijn mogelijk.</t>
  </si>
  <si>
    <t>Oorzaken liquiditeitsproblemen in derde kwartaal:</t>
  </si>
  <si>
    <t>uitgaven niet evenredig verdeeld over de maanden (bv vakantiegeld, aanschaf auto en VPB)</t>
  </si>
  <si>
    <t>Sowieso heeft de onderneming meer uitgaven dan ontvangsten (meer omzet nodig of minder kosten!)</t>
  </si>
  <si>
    <t>Verder doet de onderneming een dure investering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</si>
</sst>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-413]\ #,##0"/>
    <numFmt numFmtId="165" formatCode="[$€-413]\ #,##0.00"/>
    <numFmt numFmtId="166" formatCode="_ [$€-413]\ * #,##0_ ;_ [$€-413]\ * \-#,##0_ ;_ [$€-413]\ * &quot;-&quot;_ ;_ @_ "/>
    <numFmt numFmtId="167" formatCode="[$€-2]\ #,##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/>
    <xf numFmtId="0" fontId="0" fillId="0" borderId="3" xfId="0" applyBorder="1"/>
    <xf numFmtId="166" fontId="0" fillId="0" borderId="0" xfId="0" applyNumberFormat="1"/>
    <xf numFmtId="166" fontId="0" fillId="0" borderId="2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0" fontId="1" fillId="0" borderId="0" xfId="0" applyFont="1"/>
    <xf numFmtId="166" fontId="1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2" borderId="0" xfId="0" applyFill="1"/>
    <xf numFmtId="0" fontId="0" fillId="0" borderId="0" xfId="0" applyBorder="1"/>
    <xf numFmtId="164" fontId="0" fillId="2" borderId="0" xfId="0" applyNumberFormat="1" applyFill="1"/>
    <xf numFmtId="164" fontId="0" fillId="0" borderId="0" xfId="0" applyNumberFormat="1" applyBorder="1"/>
    <xf numFmtId="167" fontId="0" fillId="0" borderId="0" xfId="0" applyNumberFormat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9"/>
  <sheetViews>
    <sheetView tabSelected="1" topLeftCell="A202" workbookViewId="0">
      <selection activeCell="C213" sqref="C213"/>
    </sheetView>
  </sheetViews>
  <sheetFormatPr defaultRowHeight="15" x14ac:dyDescent="0.25"/>
  <cols>
    <col min="2" max="2" width="12.42578125" customWidth="1"/>
    <col min="3" max="3" width="10" bestFit="1" customWidth="1"/>
    <col min="4" max="4" width="10.42578125" customWidth="1"/>
    <col min="5" max="5" width="14.7109375" customWidth="1"/>
    <col min="6" max="6" width="11.7109375" bestFit="1" customWidth="1"/>
    <col min="7" max="7" width="9.28515625" bestFit="1" customWidth="1"/>
    <col min="8" max="8" width="12.5703125" customWidth="1"/>
    <col min="9" max="9" width="10.7109375" bestFit="1" customWidth="1"/>
    <col min="10" max="13" width="9.28515625" bestFit="1" customWidth="1"/>
    <col min="14" max="16" width="9.85546875" bestFit="1" customWidth="1"/>
    <col min="17" max="17" width="12.5703125" customWidth="1"/>
  </cols>
  <sheetData>
    <row r="1" spans="1:5" x14ac:dyDescent="0.25">
      <c r="A1" t="s">
        <v>0</v>
      </c>
    </row>
    <row r="3" spans="1:5" x14ac:dyDescent="0.25">
      <c r="A3" t="s">
        <v>1</v>
      </c>
    </row>
    <row r="4" spans="1:5" x14ac:dyDescent="0.25">
      <c r="A4" t="s">
        <v>2</v>
      </c>
      <c r="C4" t="s">
        <v>3</v>
      </c>
      <c r="E4" s="2">
        <f>0.03*600</f>
        <v>18</v>
      </c>
    </row>
    <row r="5" spans="1:5" x14ac:dyDescent="0.25">
      <c r="A5" t="s">
        <v>4</v>
      </c>
      <c r="E5" s="2">
        <v>70</v>
      </c>
    </row>
    <row r="6" spans="1:5" x14ac:dyDescent="0.25">
      <c r="A6" t="s">
        <v>5</v>
      </c>
      <c r="E6" s="3">
        <v>40</v>
      </c>
    </row>
    <row r="7" spans="1:5" x14ac:dyDescent="0.25">
      <c r="E7" s="2"/>
    </row>
    <row r="8" spans="1:5" x14ac:dyDescent="0.25">
      <c r="A8" t="s">
        <v>6</v>
      </c>
      <c r="E8" s="2">
        <f>SUM(E4:E7)</f>
        <v>128</v>
      </c>
    </row>
    <row r="9" spans="1:5" x14ac:dyDescent="0.25">
      <c r="E9" s="2"/>
    </row>
    <row r="10" spans="1:5" x14ac:dyDescent="0.25">
      <c r="A10" t="s">
        <v>7</v>
      </c>
      <c r="E10" s="2"/>
    </row>
    <row r="11" spans="1:5" x14ac:dyDescent="0.25">
      <c r="A11" t="s">
        <v>8</v>
      </c>
      <c r="E11" s="2">
        <f>100*150</f>
        <v>15000</v>
      </c>
    </row>
    <row r="12" spans="1:5" x14ac:dyDescent="0.25">
      <c r="A12" t="s">
        <v>9</v>
      </c>
      <c r="E12" s="3">
        <f>100*E8</f>
        <v>12800</v>
      </c>
    </row>
    <row r="13" spans="1:5" x14ac:dyDescent="0.25">
      <c r="A13" t="s">
        <v>10</v>
      </c>
      <c r="E13" s="2">
        <f>E11-E12</f>
        <v>2200</v>
      </c>
    </row>
    <row r="15" spans="1:5" x14ac:dyDescent="0.25">
      <c r="A15" t="s">
        <v>11</v>
      </c>
      <c r="E15" s="2"/>
    </row>
    <row r="16" spans="1:5" x14ac:dyDescent="0.25">
      <c r="A16" t="s">
        <v>13</v>
      </c>
      <c r="E16" s="2">
        <v>1904000</v>
      </c>
    </row>
    <row r="17" spans="1:5" x14ac:dyDescent="0.25">
      <c r="A17" t="s">
        <v>14</v>
      </c>
      <c r="E17" s="2">
        <f>E16*100/119</f>
        <v>1600000</v>
      </c>
    </row>
    <row r="18" spans="1:5" x14ac:dyDescent="0.25">
      <c r="E18" s="2"/>
    </row>
    <row r="19" spans="1:5" x14ac:dyDescent="0.25">
      <c r="A19" t="s">
        <v>16</v>
      </c>
      <c r="E19" s="2"/>
    </row>
    <row r="20" spans="1:5" x14ac:dyDescent="0.25">
      <c r="A20" t="s">
        <v>15</v>
      </c>
      <c r="E20" s="2">
        <f>E17*0.6</f>
        <v>960000</v>
      </c>
    </row>
    <row r="21" spans="1:5" x14ac:dyDescent="0.25">
      <c r="A21" t="s">
        <v>17</v>
      </c>
      <c r="E21" s="2"/>
    </row>
    <row r="22" spans="1:5" x14ac:dyDescent="0.25">
      <c r="A22" t="s">
        <v>8</v>
      </c>
      <c r="E22" s="2">
        <f>E17</f>
        <v>1600000</v>
      </c>
    </row>
    <row r="23" spans="1:5" x14ac:dyDescent="0.25">
      <c r="A23" t="s">
        <v>18</v>
      </c>
      <c r="E23" s="3">
        <f>0.4*E22</f>
        <v>640000</v>
      </c>
    </row>
    <row r="24" spans="1:5" x14ac:dyDescent="0.25">
      <c r="A24" t="s">
        <v>15</v>
      </c>
      <c r="E24" s="2">
        <f>E22-E23</f>
        <v>960000</v>
      </c>
    </row>
    <row r="25" spans="1:5" x14ac:dyDescent="0.25">
      <c r="A25" t="s">
        <v>19</v>
      </c>
      <c r="E25" s="2"/>
    </row>
    <row r="26" spans="1:5" x14ac:dyDescent="0.25">
      <c r="A26" t="s">
        <v>20</v>
      </c>
      <c r="E26" s="2">
        <v>600000</v>
      </c>
    </row>
    <row r="27" spans="1:5" x14ac:dyDescent="0.25">
      <c r="A27" t="s">
        <v>21</v>
      </c>
      <c r="E27" s="2">
        <v>22000</v>
      </c>
    </row>
    <row r="28" spans="1:5" x14ac:dyDescent="0.25">
      <c r="A28" t="s">
        <v>22</v>
      </c>
      <c r="E28" s="2">
        <v>14000</v>
      </c>
    </row>
    <row r="29" spans="1:5" x14ac:dyDescent="0.25">
      <c r="A29" t="s">
        <v>24</v>
      </c>
      <c r="E29" s="3">
        <v>15000</v>
      </c>
    </row>
    <row r="30" spans="1:5" x14ac:dyDescent="0.25">
      <c r="E30" s="2">
        <f>SUM(E26:E29)</f>
        <v>651000</v>
      </c>
    </row>
    <row r="31" spans="1:5" x14ac:dyDescent="0.25">
      <c r="E31" s="2"/>
    </row>
    <row r="32" spans="1:5" x14ac:dyDescent="0.25">
      <c r="A32" t="s">
        <v>25</v>
      </c>
      <c r="E32" s="2">
        <f>E24-E30</f>
        <v>309000</v>
      </c>
    </row>
    <row r="33" spans="1:6" x14ac:dyDescent="0.25">
      <c r="A33" t="s">
        <v>26</v>
      </c>
      <c r="E33" s="2"/>
    </row>
    <row r="34" spans="1:6" x14ac:dyDescent="0.25">
      <c r="A34" t="s">
        <v>23</v>
      </c>
      <c r="E34" s="3">
        <v>12000</v>
      </c>
    </row>
    <row r="35" spans="1:6" x14ac:dyDescent="0.25">
      <c r="A35" t="s">
        <v>27</v>
      </c>
      <c r="E35" s="2">
        <f>E32-E34</f>
        <v>297000</v>
      </c>
    </row>
    <row r="36" spans="1:6" x14ac:dyDescent="0.25">
      <c r="A36" t="s">
        <v>28</v>
      </c>
      <c r="E36" s="3">
        <f>E35*0.34</f>
        <v>100980</v>
      </c>
    </row>
    <row r="37" spans="1:6" x14ac:dyDescent="0.25">
      <c r="A37" t="s">
        <v>29</v>
      </c>
      <c r="E37" s="2">
        <f>E35-E36</f>
        <v>196020</v>
      </c>
    </row>
    <row r="38" spans="1:6" x14ac:dyDescent="0.25">
      <c r="E38" s="2"/>
    </row>
    <row r="39" spans="1:6" x14ac:dyDescent="0.25">
      <c r="A39" t="s">
        <v>30</v>
      </c>
    </row>
    <row r="40" spans="1:6" x14ac:dyDescent="0.25">
      <c r="A40" s="1" t="s">
        <v>31</v>
      </c>
      <c r="B40" s="1"/>
      <c r="C40" s="1"/>
      <c r="D40" s="1"/>
      <c r="E40" s="1"/>
      <c r="F40" s="1" t="s">
        <v>39</v>
      </c>
    </row>
    <row r="41" spans="1:6" x14ac:dyDescent="0.25">
      <c r="A41" t="s">
        <v>32</v>
      </c>
      <c r="C41" s="7">
        <v>400000</v>
      </c>
      <c r="D41" s="8" t="s">
        <v>37</v>
      </c>
      <c r="E41" s="7"/>
      <c r="F41" s="7">
        <v>100000</v>
      </c>
    </row>
    <row r="42" spans="1:6" x14ac:dyDescent="0.25">
      <c r="A42" t="s">
        <v>33</v>
      </c>
      <c r="C42" s="7">
        <v>150000</v>
      </c>
      <c r="D42" s="9" t="s">
        <v>36</v>
      </c>
      <c r="E42" s="7"/>
      <c r="F42" s="7">
        <f>0.85*C41</f>
        <v>340000</v>
      </c>
    </row>
    <row r="43" spans="1:6" x14ac:dyDescent="0.25">
      <c r="A43" t="s">
        <v>34</v>
      </c>
      <c r="C43" s="7">
        <v>120000</v>
      </c>
      <c r="D43" s="9" t="s">
        <v>35</v>
      </c>
      <c r="E43" s="7"/>
      <c r="F43" s="7">
        <f>C43*0.4</f>
        <v>48000</v>
      </c>
    </row>
    <row r="44" spans="1:6" x14ac:dyDescent="0.25">
      <c r="A44" t="s">
        <v>38</v>
      </c>
      <c r="C44" s="7">
        <v>2000</v>
      </c>
      <c r="D44" s="9" t="s">
        <v>41</v>
      </c>
      <c r="E44" s="7"/>
      <c r="F44" s="7">
        <f>C42</f>
        <v>150000</v>
      </c>
    </row>
    <row r="45" spans="1:6" x14ac:dyDescent="0.25">
      <c r="C45" s="7"/>
      <c r="D45" s="9" t="s">
        <v>42</v>
      </c>
      <c r="E45" s="7"/>
      <c r="F45" s="7">
        <f>C46-F41-F42-F43-F44</f>
        <v>34000</v>
      </c>
    </row>
    <row r="46" spans="1:6" ht="15.75" thickBot="1" x14ac:dyDescent="0.3">
      <c r="C46" s="10">
        <f>SUM(C41:C45)</f>
        <v>672000</v>
      </c>
      <c r="D46" s="9"/>
      <c r="E46" s="7"/>
      <c r="F46" s="11">
        <f>SUM(F41:F45)</f>
        <v>672000</v>
      </c>
    </row>
    <row r="47" spans="1:6" ht="15.75" thickTop="1" x14ac:dyDescent="0.25">
      <c r="D47" s="6"/>
    </row>
    <row r="49" spans="1:7" x14ac:dyDescent="0.25">
      <c r="A49" t="s">
        <v>40</v>
      </c>
    </row>
    <row r="50" spans="1:7" x14ac:dyDescent="0.25">
      <c r="A50" t="s">
        <v>12</v>
      </c>
    </row>
    <row r="51" spans="1:7" x14ac:dyDescent="0.25">
      <c r="A51" t="s">
        <v>43</v>
      </c>
    </row>
    <row r="52" spans="1:7" x14ac:dyDescent="0.25">
      <c r="A52" t="s">
        <v>44</v>
      </c>
      <c r="E52" s="7">
        <f>0.2*83800</f>
        <v>16760</v>
      </c>
      <c r="F52" s="7"/>
    </row>
    <row r="53" spans="1:7" x14ac:dyDescent="0.25">
      <c r="A53" t="s">
        <v>45</v>
      </c>
      <c r="E53" s="13">
        <f>0.8*35700</f>
        <v>28560</v>
      </c>
      <c r="F53" s="7"/>
    </row>
    <row r="54" spans="1:7" x14ac:dyDescent="0.25">
      <c r="A54" t="s">
        <v>46</v>
      </c>
      <c r="E54" s="7">
        <f>E52+E53</f>
        <v>45320</v>
      </c>
      <c r="F54" s="7"/>
    </row>
    <row r="55" spans="1:7" x14ac:dyDescent="0.25">
      <c r="A55" t="s">
        <v>47</v>
      </c>
      <c r="E55" s="7"/>
      <c r="F55" s="7"/>
    </row>
    <row r="56" spans="1:7" x14ac:dyDescent="0.25">
      <c r="A56" t="s">
        <v>48</v>
      </c>
      <c r="E56" s="7"/>
      <c r="F56" s="7"/>
    </row>
    <row r="57" spans="1:7" x14ac:dyDescent="0.25">
      <c r="A57" t="s">
        <v>49</v>
      </c>
      <c r="E57" s="7">
        <f>0.6*59500</f>
        <v>35700</v>
      </c>
      <c r="F57" s="7" t="s">
        <v>50</v>
      </c>
    </row>
    <row r="58" spans="1:7" x14ac:dyDescent="0.25">
      <c r="A58" t="s">
        <v>26</v>
      </c>
      <c r="E58" s="7"/>
      <c r="F58" s="7" t="s">
        <v>54</v>
      </c>
    </row>
    <row r="59" spans="1:7" x14ac:dyDescent="0.25">
      <c r="A59" t="s">
        <v>51</v>
      </c>
      <c r="E59" s="7"/>
      <c r="F59" s="7">
        <f>0.8*59500</f>
        <v>47600</v>
      </c>
    </row>
    <row r="60" spans="1:7" x14ac:dyDescent="0.25">
      <c r="A60" t="s">
        <v>52</v>
      </c>
      <c r="E60" s="7"/>
      <c r="F60" s="7"/>
    </row>
    <row r="61" spans="1:7" x14ac:dyDescent="0.25">
      <c r="A61" t="s">
        <v>53</v>
      </c>
      <c r="E61" s="7"/>
      <c r="F61" s="7">
        <f>0.6*83800</f>
        <v>50280</v>
      </c>
      <c r="G61" t="s">
        <v>55</v>
      </c>
    </row>
    <row r="62" spans="1:7" x14ac:dyDescent="0.25">
      <c r="B62" s="2"/>
      <c r="C62" s="2"/>
      <c r="D62" s="2"/>
      <c r="E62" s="2"/>
      <c r="F62" s="7"/>
    </row>
    <row r="63" spans="1:7" x14ac:dyDescent="0.25">
      <c r="A63" t="s">
        <v>56</v>
      </c>
      <c r="B63" s="2"/>
      <c r="C63" s="2"/>
      <c r="D63" s="2"/>
      <c r="E63" s="2"/>
    </row>
    <row r="64" spans="1:7" x14ac:dyDescent="0.25">
      <c r="A64" t="s">
        <v>12</v>
      </c>
      <c r="B64" s="2"/>
      <c r="C64" s="2"/>
      <c r="D64" s="2"/>
      <c r="E64" s="2"/>
    </row>
    <row r="65" spans="1:5" x14ac:dyDescent="0.25">
      <c r="A65" t="s">
        <v>8</v>
      </c>
      <c r="B65" s="2"/>
      <c r="C65" s="2"/>
      <c r="D65" s="2"/>
      <c r="E65" s="2">
        <f>4*40000*0.02*2</f>
        <v>6400</v>
      </c>
    </row>
    <row r="66" spans="1:5" x14ac:dyDescent="0.25">
      <c r="A66" t="s">
        <v>57</v>
      </c>
      <c r="B66" s="2"/>
      <c r="C66" s="2"/>
      <c r="D66" s="2"/>
      <c r="E66" s="14">
        <f>4*40000*0.02*0.5</f>
        <v>1600</v>
      </c>
    </row>
    <row r="67" spans="1:5" x14ac:dyDescent="0.25">
      <c r="A67" t="s">
        <v>58</v>
      </c>
      <c r="B67" s="2"/>
      <c r="C67" s="2"/>
      <c r="D67" s="2"/>
      <c r="E67" s="2">
        <f>E65-E66</f>
        <v>4800</v>
      </c>
    </row>
    <row r="68" spans="1:5" x14ac:dyDescent="0.25">
      <c r="A68" t="s">
        <v>59</v>
      </c>
      <c r="B68" s="2"/>
      <c r="C68" s="2"/>
      <c r="D68" s="2"/>
      <c r="E68" s="14">
        <v>200</v>
      </c>
    </row>
    <row r="69" spans="1:5" x14ac:dyDescent="0.25">
      <c r="A69" t="s">
        <v>60</v>
      </c>
      <c r="B69" s="2"/>
      <c r="C69" s="2"/>
      <c r="D69" s="2"/>
      <c r="E69" s="2">
        <f>E67-E68</f>
        <v>4600</v>
      </c>
    </row>
    <row r="70" spans="1:5" x14ac:dyDescent="0.25">
      <c r="B70" s="2"/>
      <c r="C70" s="2"/>
      <c r="D70" s="2"/>
      <c r="E70" s="2"/>
    </row>
    <row r="71" spans="1:5" x14ac:dyDescent="0.25">
      <c r="A71" t="s">
        <v>47</v>
      </c>
      <c r="B71" s="2"/>
      <c r="C71" s="2"/>
      <c r="D71" s="2"/>
      <c r="E71" s="2"/>
    </row>
    <row r="72" spans="1:5" x14ac:dyDescent="0.25">
      <c r="A72" t="s">
        <v>61</v>
      </c>
      <c r="B72" s="2"/>
      <c r="C72" s="2"/>
      <c r="D72" s="2"/>
      <c r="E72" s="2">
        <v>3000</v>
      </c>
    </row>
    <row r="73" spans="1:5" x14ac:dyDescent="0.25">
      <c r="A73" t="s">
        <v>62</v>
      </c>
      <c r="B73" s="2"/>
      <c r="C73" s="2"/>
      <c r="D73" s="2"/>
      <c r="E73" s="2"/>
    </row>
    <row r="74" spans="1:5" x14ac:dyDescent="0.25">
      <c r="A74" t="s">
        <v>59</v>
      </c>
      <c r="B74" s="2"/>
      <c r="C74" s="2"/>
      <c r="D74" s="2">
        <v>200</v>
      </c>
      <c r="E74" s="2"/>
    </row>
    <row r="75" spans="1:5" x14ac:dyDescent="0.25">
      <c r="A75" t="s">
        <v>63</v>
      </c>
      <c r="B75" s="2"/>
      <c r="C75" s="2"/>
      <c r="D75" s="3">
        <f>5000*0.5</f>
        <v>2500</v>
      </c>
      <c r="E75" s="2"/>
    </row>
    <row r="76" spans="1:5" x14ac:dyDescent="0.25">
      <c r="B76" s="2"/>
      <c r="C76" s="2"/>
      <c r="D76" s="2"/>
      <c r="E76" s="3">
        <f>D74+D75</f>
        <v>2700</v>
      </c>
    </row>
    <row r="77" spans="1:5" x14ac:dyDescent="0.25">
      <c r="A77" t="s">
        <v>64</v>
      </c>
      <c r="B77" s="2"/>
      <c r="C77" s="2"/>
      <c r="D77" s="2"/>
      <c r="E77" s="2">
        <f>E72-E76</f>
        <v>300</v>
      </c>
    </row>
    <row r="78" spans="1:5" x14ac:dyDescent="0.25">
      <c r="B78" s="2"/>
      <c r="C78" s="2"/>
      <c r="D78" s="2"/>
      <c r="E78" s="2"/>
    </row>
    <row r="79" spans="1:5" x14ac:dyDescent="0.25">
      <c r="A79" t="s">
        <v>65</v>
      </c>
      <c r="B79" s="2"/>
      <c r="C79" s="2"/>
      <c r="D79" s="2"/>
      <c r="E79" s="2"/>
    </row>
    <row r="80" spans="1:5" x14ac:dyDescent="0.25">
      <c r="A80" t="s">
        <v>66</v>
      </c>
      <c r="B80" s="2"/>
      <c r="C80" s="2"/>
      <c r="D80" s="2"/>
      <c r="E80" s="2">
        <f>4700*2</f>
        <v>9400</v>
      </c>
    </row>
    <row r="81" spans="1:5" x14ac:dyDescent="0.25">
      <c r="A81" t="s">
        <v>67</v>
      </c>
      <c r="B81" s="2"/>
      <c r="C81" s="2"/>
      <c r="D81" s="2"/>
      <c r="E81" s="2"/>
    </row>
    <row r="82" spans="1:5" x14ac:dyDescent="0.25">
      <c r="B82" s="2"/>
      <c r="C82" s="2"/>
      <c r="D82" s="2"/>
      <c r="E82" s="2"/>
    </row>
    <row r="83" spans="1:5" x14ac:dyDescent="0.25">
      <c r="A83" t="s">
        <v>68</v>
      </c>
      <c r="B83" s="2"/>
      <c r="C83" s="2"/>
      <c r="D83" s="2"/>
      <c r="E83" s="2"/>
    </row>
    <row r="84" spans="1:5" x14ac:dyDescent="0.25">
      <c r="A84" t="s">
        <v>8</v>
      </c>
      <c r="B84" s="2"/>
      <c r="C84" s="2"/>
      <c r="D84" s="2"/>
      <c r="E84" s="2">
        <f>E80</f>
        <v>9400</v>
      </c>
    </row>
    <row r="85" spans="1:5" x14ac:dyDescent="0.25">
      <c r="A85" t="s">
        <v>57</v>
      </c>
      <c r="B85" s="2"/>
      <c r="C85" s="2"/>
      <c r="D85" s="2"/>
      <c r="E85" s="15">
        <f>4700*0.5</f>
        <v>2350</v>
      </c>
    </row>
    <row r="86" spans="1:5" x14ac:dyDescent="0.25">
      <c r="A86" t="s">
        <v>69</v>
      </c>
      <c r="B86" s="2"/>
      <c r="C86" s="2"/>
      <c r="D86" s="2"/>
      <c r="E86" s="2">
        <f>E84-E85</f>
        <v>7050</v>
      </c>
    </row>
    <row r="87" spans="1:5" x14ac:dyDescent="0.25">
      <c r="A87" t="s">
        <v>59</v>
      </c>
      <c r="B87" s="2"/>
      <c r="C87" s="2"/>
      <c r="D87" s="2"/>
      <c r="E87" s="3">
        <v>200</v>
      </c>
    </row>
    <row r="88" spans="1:5" x14ac:dyDescent="0.25">
      <c r="A88" t="s">
        <v>60</v>
      </c>
      <c r="B88" s="2"/>
      <c r="C88" s="2"/>
      <c r="D88" s="2"/>
      <c r="E88" s="2">
        <f>E86-E87</f>
        <v>6850</v>
      </c>
    </row>
    <row r="89" spans="1:5" x14ac:dyDescent="0.25">
      <c r="B89" s="2"/>
      <c r="C89" s="2"/>
      <c r="D89" s="2"/>
      <c r="E89" s="2"/>
    </row>
    <row r="90" spans="1:5" x14ac:dyDescent="0.25">
      <c r="A90" s="1" t="s">
        <v>70</v>
      </c>
      <c r="B90" s="3"/>
      <c r="C90" s="3"/>
      <c r="D90" s="3"/>
      <c r="E90" s="3"/>
    </row>
    <row r="91" spans="1:5" x14ac:dyDescent="0.25">
      <c r="A91" t="s">
        <v>71</v>
      </c>
      <c r="B91" s="2">
        <f>0.5*300</f>
        <v>150</v>
      </c>
      <c r="C91" s="16" t="s">
        <v>73</v>
      </c>
      <c r="D91" s="2"/>
      <c r="E91" s="2">
        <f>E88</f>
        <v>6850</v>
      </c>
    </row>
    <row r="92" spans="1:5" x14ac:dyDescent="0.25">
      <c r="A92" t="s">
        <v>72</v>
      </c>
      <c r="B92" s="2">
        <f>E77+E80</f>
        <v>9700</v>
      </c>
      <c r="C92" s="17" t="s">
        <v>74</v>
      </c>
      <c r="D92" s="2"/>
      <c r="E92" s="2">
        <v>3000</v>
      </c>
    </row>
    <row r="93" spans="1:5" x14ac:dyDescent="0.25">
      <c r="B93" s="2"/>
      <c r="C93" s="17"/>
      <c r="D93" s="2"/>
      <c r="E93" s="2"/>
    </row>
    <row r="94" spans="1:5" ht="15.75" thickBot="1" x14ac:dyDescent="0.3">
      <c r="B94" s="18">
        <f>SUM(B91:B93)</f>
        <v>9850</v>
      </c>
      <c r="C94" s="17"/>
      <c r="D94" s="2"/>
      <c r="E94" s="19">
        <f>SUM(E91:E93)</f>
        <v>9850</v>
      </c>
    </row>
    <row r="95" spans="1:5" ht="15.75" thickTop="1" x14ac:dyDescent="0.25">
      <c r="B95" s="2"/>
      <c r="C95" s="17"/>
      <c r="D95" s="2"/>
      <c r="E95" s="2"/>
    </row>
    <row r="96" spans="1:5" x14ac:dyDescent="0.25">
      <c r="B96" s="2"/>
      <c r="C96" s="2"/>
      <c r="D96" s="2"/>
      <c r="E96" s="2"/>
    </row>
    <row r="97" spans="1:5" x14ac:dyDescent="0.25">
      <c r="A97" t="s">
        <v>75</v>
      </c>
      <c r="B97" s="2"/>
      <c r="C97" s="2"/>
      <c r="D97" s="2"/>
      <c r="E97" s="2"/>
    </row>
    <row r="98" spans="1:5" x14ac:dyDescent="0.25">
      <c r="A98" t="s">
        <v>76</v>
      </c>
      <c r="B98" s="2"/>
      <c r="C98" s="2"/>
      <c r="D98" s="2"/>
      <c r="E98" s="2">
        <f>300*0.2</f>
        <v>60</v>
      </c>
    </row>
    <row r="99" spans="1:5" x14ac:dyDescent="0.25">
      <c r="A99" t="s">
        <v>77</v>
      </c>
      <c r="B99" s="2"/>
      <c r="C99" s="2"/>
      <c r="D99" s="2"/>
      <c r="E99" s="2">
        <v>3000</v>
      </c>
    </row>
    <row r="100" spans="1:5" x14ac:dyDescent="0.25">
      <c r="A100" t="s">
        <v>78</v>
      </c>
      <c r="B100" s="2"/>
      <c r="C100" s="2"/>
      <c r="D100" s="2"/>
      <c r="E100" s="3">
        <v>30</v>
      </c>
    </row>
    <row r="101" spans="1:5" x14ac:dyDescent="0.25">
      <c r="A101" t="s">
        <v>79</v>
      </c>
      <c r="B101" s="2"/>
      <c r="C101" s="2"/>
      <c r="D101" s="2"/>
      <c r="E101" s="2">
        <f>E98-E99-E100</f>
        <v>-2970</v>
      </c>
    </row>
    <row r="102" spans="1:5" x14ac:dyDescent="0.25">
      <c r="B102" s="2"/>
      <c r="C102" s="2"/>
      <c r="D102" s="2"/>
      <c r="E102" s="2"/>
    </row>
    <row r="103" spans="1:5" x14ac:dyDescent="0.25">
      <c r="A103" t="s">
        <v>80</v>
      </c>
      <c r="B103" s="2"/>
      <c r="C103" s="2"/>
      <c r="D103" s="2"/>
      <c r="E103" s="2"/>
    </row>
    <row r="104" spans="1:5" x14ac:dyDescent="0.25">
      <c r="A104" t="s">
        <v>8</v>
      </c>
      <c r="B104" s="2"/>
      <c r="C104" s="2"/>
      <c r="D104" s="2"/>
      <c r="E104" s="2">
        <f>E98</f>
        <v>60</v>
      </c>
    </row>
    <row r="105" spans="1:5" x14ac:dyDescent="0.25">
      <c r="A105" t="s">
        <v>57</v>
      </c>
      <c r="B105" s="2"/>
      <c r="C105" s="2"/>
      <c r="D105" s="2"/>
      <c r="E105" s="3">
        <f>300*0.5</f>
        <v>150</v>
      </c>
    </row>
    <row r="106" spans="1:5" x14ac:dyDescent="0.25">
      <c r="A106" t="s">
        <v>69</v>
      </c>
      <c r="B106" s="2"/>
      <c r="C106" s="2"/>
      <c r="D106" s="2"/>
      <c r="E106" s="2">
        <f>E104-E105</f>
        <v>-90</v>
      </c>
    </row>
    <row r="107" spans="1:5" x14ac:dyDescent="0.25">
      <c r="A107" t="s">
        <v>81</v>
      </c>
      <c r="B107" s="2"/>
      <c r="C107" s="2"/>
      <c r="D107" s="2"/>
      <c r="E107" s="3">
        <v>30</v>
      </c>
    </row>
    <row r="108" spans="1:5" x14ac:dyDescent="0.25">
      <c r="A108" t="s">
        <v>82</v>
      </c>
      <c r="B108" s="2"/>
      <c r="C108" s="2"/>
      <c r="D108" s="2"/>
      <c r="E108" s="2">
        <f>E106-E107</f>
        <v>-120</v>
      </c>
    </row>
    <row r="109" spans="1:5" x14ac:dyDescent="0.25">
      <c r="B109" s="2"/>
      <c r="C109" s="2"/>
      <c r="D109" s="2"/>
      <c r="E109" s="2"/>
    </row>
    <row r="110" spans="1:5" x14ac:dyDescent="0.25">
      <c r="A110" s="1" t="s">
        <v>83</v>
      </c>
      <c r="B110" s="3"/>
      <c r="C110" s="3"/>
      <c r="D110" s="3"/>
      <c r="E110" s="3"/>
    </row>
    <row r="111" spans="1:5" x14ac:dyDescent="0.25">
      <c r="A111" t="s">
        <v>72</v>
      </c>
      <c r="B111" s="2">
        <f>B92+E101</f>
        <v>6730</v>
      </c>
      <c r="C111" s="16" t="s">
        <v>73</v>
      </c>
      <c r="D111" s="2"/>
      <c r="E111" s="2">
        <f>E91+E108</f>
        <v>6730</v>
      </c>
    </row>
    <row r="112" spans="1:5" x14ac:dyDescent="0.25">
      <c r="B112" s="2"/>
      <c r="C112" s="17"/>
      <c r="D112" s="2"/>
      <c r="E112" s="2"/>
    </row>
    <row r="113" spans="1:9" ht="15.75" thickBot="1" x14ac:dyDescent="0.3">
      <c r="B113" s="18">
        <f>SUM(B111:B111)</f>
        <v>6730</v>
      </c>
      <c r="C113" s="17"/>
      <c r="D113" s="2"/>
      <c r="E113" s="19">
        <f>E111</f>
        <v>6730</v>
      </c>
    </row>
    <row r="114" spans="1:9" ht="15.75" thickTop="1" x14ac:dyDescent="0.25">
      <c r="B114" s="2"/>
      <c r="C114" s="17"/>
      <c r="D114" s="2"/>
      <c r="E114" s="2"/>
    </row>
    <row r="117" spans="1:9" x14ac:dyDescent="0.25">
      <c r="A117" t="s">
        <v>84</v>
      </c>
    </row>
    <row r="118" spans="1:9" x14ac:dyDescent="0.25">
      <c r="A118" t="s">
        <v>12</v>
      </c>
    </row>
    <row r="119" spans="1:9" x14ac:dyDescent="0.25">
      <c r="A119" t="s">
        <v>85</v>
      </c>
    </row>
    <row r="120" spans="1:9" x14ac:dyDescent="0.25">
      <c r="A120" t="s">
        <v>32</v>
      </c>
      <c r="F120" s="4">
        <f>300000*1.1</f>
        <v>330000</v>
      </c>
      <c r="H120" s="4"/>
      <c r="I120" s="4"/>
    </row>
    <row r="121" spans="1:9" x14ac:dyDescent="0.25">
      <c r="A121" t="s">
        <v>87</v>
      </c>
      <c r="F121" s="4">
        <f>24200*100/121</f>
        <v>20000</v>
      </c>
      <c r="H121" s="4"/>
    </row>
    <row r="122" spans="1:9" x14ac:dyDescent="0.25">
      <c r="A122" t="s">
        <v>93</v>
      </c>
      <c r="F122" s="4">
        <f>7260*100/121</f>
        <v>6000</v>
      </c>
      <c r="H122" s="4"/>
    </row>
    <row r="123" spans="1:9" x14ac:dyDescent="0.25">
      <c r="A123" t="s">
        <v>88</v>
      </c>
      <c r="F123" s="4">
        <f>(20*60.5+3630+4*42.35+4840+3630+2420+3025)*100/121</f>
        <v>15640.000000000002</v>
      </c>
      <c r="H123" s="4"/>
    </row>
    <row r="124" spans="1:9" x14ac:dyDescent="0.25">
      <c r="A124" t="s">
        <v>86</v>
      </c>
      <c r="F124" s="4">
        <f>(20*36.3+8*27.83+50*6.05+12100)*100/121</f>
        <v>11034</v>
      </c>
      <c r="H124" s="4"/>
    </row>
    <row r="125" spans="1:9" x14ac:dyDescent="0.25">
      <c r="A125" t="s">
        <v>90</v>
      </c>
      <c r="F125" s="4">
        <f>(363+1815)*100/121</f>
        <v>1800</v>
      </c>
      <c r="H125" s="4"/>
    </row>
    <row r="126" spans="1:9" x14ac:dyDescent="0.25">
      <c r="A126" t="s">
        <v>89</v>
      </c>
      <c r="F126" s="4">
        <f>0.21*(F121+F122+F123+F124+F125+30000)</f>
        <v>17739.54</v>
      </c>
      <c r="H126" s="4"/>
    </row>
    <row r="127" spans="1:9" x14ac:dyDescent="0.25">
      <c r="A127" t="s">
        <v>91</v>
      </c>
      <c r="F127" s="4">
        <v>1000</v>
      </c>
      <c r="H127" s="4"/>
    </row>
    <row r="128" spans="1:9" x14ac:dyDescent="0.25">
      <c r="F128" s="5"/>
      <c r="H128" s="4"/>
      <c r="I128" s="4"/>
    </row>
    <row r="129" spans="1:8" x14ac:dyDescent="0.25">
      <c r="F129" s="4">
        <f>SUM(F120:F128)</f>
        <v>403213.54</v>
      </c>
      <c r="H129" s="4"/>
    </row>
    <row r="130" spans="1:8" x14ac:dyDescent="0.25">
      <c r="F130" s="4"/>
    </row>
    <row r="131" spans="1:8" x14ac:dyDescent="0.25">
      <c r="A131" t="s">
        <v>92</v>
      </c>
    </row>
    <row r="132" spans="1:8" x14ac:dyDescent="0.25">
      <c r="A132" t="s">
        <v>32</v>
      </c>
      <c r="F132" s="4">
        <f>F120+F121+F122</f>
        <v>356000</v>
      </c>
      <c r="G132" t="s">
        <v>94</v>
      </c>
    </row>
    <row r="133" spans="1:8" x14ac:dyDescent="0.25">
      <c r="A133" t="s">
        <v>88</v>
      </c>
      <c r="F133" s="4">
        <f>F123</f>
        <v>15640.000000000002</v>
      </c>
    </row>
    <row r="134" spans="1:8" x14ac:dyDescent="0.25">
      <c r="A134" t="s">
        <v>86</v>
      </c>
      <c r="F134" s="4">
        <f>(20*36.3+8*27.83+50*6.05+12100)*100/121</f>
        <v>11034</v>
      </c>
    </row>
    <row r="135" spans="1:8" x14ac:dyDescent="0.25">
      <c r="A135" t="s">
        <v>95</v>
      </c>
      <c r="F135" s="4">
        <f>(363+1815)*100/121</f>
        <v>1800</v>
      </c>
    </row>
    <row r="136" spans="1:8" x14ac:dyDescent="0.25">
      <c r="A136" t="s">
        <v>89</v>
      </c>
      <c r="F136" s="4">
        <f>0.21*(F131+F132+F133+F134+F135+30000)</f>
        <v>87039.54</v>
      </c>
    </row>
    <row r="137" spans="1:8" x14ac:dyDescent="0.25">
      <c r="A137" t="s">
        <v>91</v>
      </c>
      <c r="F137" s="4">
        <v>1000</v>
      </c>
    </row>
    <row r="138" spans="1:8" x14ac:dyDescent="0.25">
      <c r="F138" s="5"/>
    </row>
    <row r="139" spans="1:8" x14ac:dyDescent="0.25">
      <c r="F139" s="4">
        <f>SUM(F132:F138)</f>
        <v>472513.54</v>
      </c>
    </row>
    <row r="142" spans="1:8" x14ac:dyDescent="0.25">
      <c r="A142" t="s">
        <v>47</v>
      </c>
      <c r="C142" s="2"/>
      <c r="D142" s="2"/>
      <c r="E142" s="2"/>
      <c r="F142" s="2"/>
      <c r="G142" s="2"/>
      <c r="H142" s="2"/>
    </row>
    <row r="143" spans="1:8" x14ac:dyDescent="0.25">
      <c r="A143" t="s">
        <v>96</v>
      </c>
      <c r="C143" s="2"/>
      <c r="D143" s="2"/>
      <c r="E143" s="2"/>
      <c r="F143" s="2"/>
      <c r="G143" s="2"/>
      <c r="H143" s="2"/>
    </row>
    <row r="144" spans="1:8" x14ac:dyDescent="0.25">
      <c r="A144" t="s">
        <v>97</v>
      </c>
      <c r="C144" s="2"/>
      <c r="D144" s="2"/>
      <c r="E144" s="2"/>
      <c r="F144" s="2">
        <v>90000</v>
      </c>
      <c r="G144" s="2"/>
      <c r="H144" s="2"/>
    </row>
    <row r="145" spans="1:8" x14ac:dyDescent="0.25">
      <c r="A145" t="s">
        <v>105</v>
      </c>
      <c r="C145" s="2"/>
      <c r="D145" s="2"/>
      <c r="E145" s="2"/>
      <c r="F145" s="3">
        <v>12100</v>
      </c>
      <c r="G145" s="2"/>
      <c r="H145" s="2"/>
    </row>
    <row r="146" spans="1:8" x14ac:dyDescent="0.25">
      <c r="C146" s="2"/>
      <c r="D146" s="2"/>
      <c r="E146" s="2"/>
      <c r="F146" s="2">
        <f>SUM(F144:F145)</f>
        <v>102100</v>
      </c>
      <c r="G146" s="2"/>
      <c r="H146" s="2"/>
    </row>
    <row r="147" spans="1:8" x14ac:dyDescent="0.25">
      <c r="A147" t="s">
        <v>98</v>
      </c>
      <c r="C147" s="2"/>
      <c r="D147" s="2"/>
      <c r="E147" s="2"/>
      <c r="F147" s="2">
        <f>F139-F146</f>
        <v>370413.54</v>
      </c>
      <c r="G147" s="2"/>
      <c r="H147" s="2"/>
    </row>
    <row r="148" spans="1:8" x14ac:dyDescent="0.25">
      <c r="C148" s="2"/>
      <c r="D148" s="2"/>
      <c r="E148" s="2"/>
      <c r="F148" s="2"/>
      <c r="G148" s="2"/>
      <c r="H148" s="2"/>
    </row>
    <row r="149" spans="1:8" x14ac:dyDescent="0.25">
      <c r="A149" s="20" t="s">
        <v>99</v>
      </c>
      <c r="B149" s="20"/>
      <c r="C149" s="22"/>
      <c r="D149" s="22"/>
      <c r="E149" s="2"/>
      <c r="F149" s="2"/>
      <c r="G149" s="2"/>
      <c r="H149" s="2"/>
    </row>
    <row r="150" spans="1:8" x14ac:dyDescent="0.25">
      <c r="A150" t="s">
        <v>100</v>
      </c>
      <c r="C150" s="2"/>
      <c r="D150" s="2"/>
      <c r="E150" s="2"/>
      <c r="F150" s="2"/>
      <c r="G150" s="2"/>
      <c r="H150" s="2"/>
    </row>
    <row r="151" spans="1:8" x14ac:dyDescent="0.25">
      <c r="A151" t="s">
        <v>101</v>
      </c>
      <c r="C151" s="2"/>
      <c r="D151" s="2"/>
      <c r="E151" s="2"/>
      <c r="F151" s="2">
        <f>0.8*F132</f>
        <v>284800</v>
      </c>
      <c r="G151" s="2" t="s">
        <v>106</v>
      </c>
      <c r="H151" s="2"/>
    </row>
    <row r="152" spans="1:8" x14ac:dyDescent="0.25">
      <c r="A152" t="s">
        <v>103</v>
      </c>
      <c r="C152" s="2"/>
      <c r="D152" s="2"/>
      <c r="E152" s="2"/>
      <c r="F152" s="2">
        <f>F133</f>
        <v>15640.000000000002</v>
      </c>
      <c r="G152" s="2" t="s">
        <v>107</v>
      </c>
      <c r="H152" s="2"/>
    </row>
    <row r="153" spans="1:8" x14ac:dyDescent="0.25">
      <c r="A153" t="s">
        <v>104</v>
      </c>
      <c r="C153" s="2"/>
      <c r="D153" s="2"/>
      <c r="E153" s="2"/>
      <c r="F153" s="2">
        <f>F134</f>
        <v>11034</v>
      </c>
      <c r="G153" s="2" t="s">
        <v>108</v>
      </c>
      <c r="H153" s="2"/>
    </row>
    <row r="154" spans="1:8" x14ac:dyDescent="0.25">
      <c r="A154" t="s">
        <v>102</v>
      </c>
      <c r="C154" s="2"/>
      <c r="D154" s="2"/>
      <c r="E154" s="2"/>
      <c r="F154" s="3">
        <f>F147-F151-F152-F153</f>
        <v>58939.539999999979</v>
      </c>
      <c r="G154" s="2" t="s">
        <v>109</v>
      </c>
      <c r="H154" s="2"/>
    </row>
    <row r="155" spans="1:8" x14ac:dyDescent="0.25">
      <c r="C155" s="2"/>
      <c r="D155" s="2"/>
      <c r="E155" s="2"/>
      <c r="F155" s="2">
        <f>SUM(F151:F154)</f>
        <v>370413.54</v>
      </c>
      <c r="G155" s="2"/>
      <c r="H155" s="2"/>
    </row>
    <row r="156" spans="1:8" x14ac:dyDescent="0.25">
      <c r="A156" s="21"/>
      <c r="B156" s="21"/>
      <c r="C156" s="23"/>
      <c r="D156" s="23"/>
      <c r="E156" s="23"/>
      <c r="F156" s="23"/>
      <c r="G156" s="2"/>
      <c r="H156" s="2"/>
    </row>
    <row r="157" spans="1:8" x14ac:dyDescent="0.25">
      <c r="A157" s="1" t="s">
        <v>26</v>
      </c>
      <c r="B157" s="1"/>
      <c r="C157" s="3"/>
      <c r="D157" s="3"/>
      <c r="E157" s="3"/>
      <c r="F157" s="3"/>
      <c r="G157" s="2"/>
      <c r="H157" s="2"/>
    </row>
    <row r="158" spans="1:8" x14ac:dyDescent="0.25">
      <c r="A158" t="s">
        <v>32</v>
      </c>
      <c r="C158" s="2"/>
      <c r="D158" s="2">
        <v>356000</v>
      </c>
      <c r="E158" s="16" t="s">
        <v>37</v>
      </c>
      <c r="F158" s="2">
        <v>90000</v>
      </c>
      <c r="G158" s="2"/>
      <c r="H158" s="2"/>
    </row>
    <row r="159" spans="1:8" x14ac:dyDescent="0.25">
      <c r="A159" t="s">
        <v>88</v>
      </c>
      <c r="C159" s="2"/>
      <c r="D159" s="2">
        <v>15640.000000000002</v>
      </c>
      <c r="E159" s="17" t="s">
        <v>110</v>
      </c>
      <c r="F159" s="2">
        <f>F151</f>
        <v>284800</v>
      </c>
      <c r="G159" s="2"/>
      <c r="H159" s="2"/>
    </row>
    <row r="160" spans="1:8" x14ac:dyDescent="0.25">
      <c r="A160" t="s">
        <v>86</v>
      </c>
      <c r="C160" s="2"/>
      <c r="D160" s="2">
        <v>11034</v>
      </c>
      <c r="E160" s="17" t="s">
        <v>111</v>
      </c>
      <c r="F160" s="2">
        <f>F152</f>
        <v>15640.000000000002</v>
      </c>
      <c r="G160" s="2"/>
      <c r="H160" s="2"/>
    </row>
    <row r="161" spans="1:9" x14ac:dyDescent="0.25">
      <c r="A161" t="s">
        <v>95</v>
      </c>
      <c r="C161" s="2"/>
      <c r="D161" s="2">
        <v>1800</v>
      </c>
      <c r="E161" s="17" t="s">
        <v>35</v>
      </c>
      <c r="F161" s="2">
        <f>F153+F145</f>
        <v>23134</v>
      </c>
      <c r="G161" s="2"/>
      <c r="H161" s="2"/>
    </row>
    <row r="162" spans="1:9" x14ac:dyDescent="0.25">
      <c r="A162" t="s">
        <v>89</v>
      </c>
      <c r="C162" s="2"/>
      <c r="D162" s="2">
        <v>87039.54</v>
      </c>
      <c r="E162" s="17" t="s">
        <v>112</v>
      </c>
      <c r="F162" s="2">
        <f>F154</f>
        <v>58939.539999999979</v>
      </c>
      <c r="G162" s="2"/>
      <c r="H162" s="2"/>
    </row>
    <row r="163" spans="1:9" x14ac:dyDescent="0.25">
      <c r="A163" t="s">
        <v>91</v>
      </c>
      <c r="C163" s="2"/>
      <c r="D163" s="2">
        <v>1000</v>
      </c>
      <c r="E163" s="17"/>
      <c r="F163" s="2"/>
      <c r="G163" s="2"/>
      <c r="H163" s="2"/>
    </row>
    <row r="164" spans="1:9" x14ac:dyDescent="0.25">
      <c r="C164" s="2"/>
      <c r="D164" s="2"/>
      <c r="E164" s="17"/>
      <c r="F164" s="3"/>
      <c r="G164" s="2"/>
      <c r="H164" s="2"/>
    </row>
    <row r="165" spans="1:9" ht="15.75" thickBot="1" x14ac:dyDescent="0.3">
      <c r="C165" s="2"/>
      <c r="D165" s="18">
        <v>472513.54</v>
      </c>
      <c r="E165" s="17"/>
      <c r="F165" s="19">
        <f>SUM(F158:F164)</f>
        <v>472513.54</v>
      </c>
      <c r="G165" s="2"/>
      <c r="H165" s="2"/>
    </row>
    <row r="166" spans="1:9" ht="15.75" thickTop="1" x14ac:dyDescent="0.25">
      <c r="E166" s="6"/>
    </row>
    <row r="168" spans="1:9" x14ac:dyDescent="0.25">
      <c r="A168" t="s">
        <v>113</v>
      </c>
      <c r="D168" s="24"/>
      <c r="E168" s="24"/>
      <c r="F168" s="24"/>
      <c r="G168" s="24"/>
      <c r="H168" s="24"/>
      <c r="I168" s="24"/>
    </row>
    <row r="169" spans="1:9" x14ac:dyDescent="0.25">
      <c r="A169" t="s">
        <v>114</v>
      </c>
      <c r="D169" s="24"/>
      <c r="E169" s="24">
        <v>2000000</v>
      </c>
      <c r="F169" s="24"/>
      <c r="G169" s="24"/>
      <c r="H169" s="24"/>
      <c r="I169" s="24"/>
    </row>
    <row r="170" spans="1:9" x14ac:dyDescent="0.25">
      <c r="A170" t="s">
        <v>115</v>
      </c>
      <c r="D170" s="24"/>
      <c r="E170" s="25">
        <f>E169*0.6</f>
        <v>1200000</v>
      </c>
      <c r="F170" s="24"/>
      <c r="G170" s="24"/>
      <c r="H170" s="24"/>
      <c r="I170" s="24"/>
    </row>
    <row r="171" spans="1:9" x14ac:dyDescent="0.25">
      <c r="A171" t="s">
        <v>58</v>
      </c>
      <c r="D171" s="24"/>
      <c r="E171" s="24">
        <f>E169-E170</f>
        <v>800000</v>
      </c>
      <c r="F171" s="24"/>
      <c r="G171" s="24"/>
      <c r="H171" s="24"/>
      <c r="I171" s="24"/>
    </row>
    <row r="172" spans="1:9" x14ac:dyDescent="0.25">
      <c r="A172" t="s">
        <v>116</v>
      </c>
      <c r="D172" s="24"/>
      <c r="E172" s="24">
        <f>30000*12*1.3</f>
        <v>468000</v>
      </c>
      <c r="F172" s="24"/>
      <c r="G172" s="24"/>
      <c r="H172" s="24"/>
      <c r="I172" s="24"/>
    </row>
    <row r="173" spans="1:9" x14ac:dyDescent="0.25">
      <c r="A173" t="s">
        <v>117</v>
      </c>
      <c r="D173" s="24"/>
      <c r="E173" s="24">
        <f>0.5*20000+0.02*300000+0.125*40000+0.2*60000</f>
        <v>33000</v>
      </c>
      <c r="F173" s="24"/>
      <c r="G173" s="24"/>
      <c r="H173" s="24"/>
      <c r="I173" s="24"/>
    </row>
    <row r="174" spans="1:9" x14ac:dyDescent="0.25">
      <c r="A174" t="s">
        <v>118</v>
      </c>
      <c r="D174" s="24"/>
      <c r="E174" s="25">
        <f>0.5*4000</f>
        <v>2000</v>
      </c>
      <c r="F174" s="24"/>
      <c r="G174" s="24"/>
      <c r="H174" s="24"/>
      <c r="I174" s="24"/>
    </row>
    <row r="175" spans="1:9" x14ac:dyDescent="0.25">
      <c r="A175" t="s">
        <v>119</v>
      </c>
      <c r="D175" s="24"/>
      <c r="E175" s="24">
        <f>E171-E172-E173-E174</f>
        <v>297000</v>
      </c>
      <c r="F175" s="24"/>
      <c r="G175" s="24"/>
      <c r="H175" s="24"/>
      <c r="I175" s="24"/>
    </row>
    <row r="176" spans="1:9" x14ac:dyDescent="0.25">
      <c r="A176" t="s">
        <v>81</v>
      </c>
      <c r="D176" s="24"/>
      <c r="E176" s="25">
        <f>0.06*130000+0.1*40000</f>
        <v>11800</v>
      </c>
      <c r="F176" s="24"/>
      <c r="G176" s="24"/>
      <c r="H176" s="24"/>
      <c r="I176" s="24"/>
    </row>
    <row r="177" spans="1:9" x14ac:dyDescent="0.25">
      <c r="A177" t="s">
        <v>120</v>
      </c>
      <c r="D177" s="24"/>
      <c r="E177" s="24">
        <f>E175-E176</f>
        <v>285200</v>
      </c>
      <c r="F177" s="24"/>
      <c r="G177" s="24"/>
      <c r="H177" s="24"/>
      <c r="I177" s="24"/>
    </row>
    <row r="178" spans="1:9" x14ac:dyDescent="0.25">
      <c r="D178" s="24"/>
      <c r="E178" s="24"/>
      <c r="F178" s="24"/>
      <c r="G178" s="24"/>
      <c r="H178" s="24"/>
      <c r="I178" s="24"/>
    </row>
    <row r="179" spans="1:9" x14ac:dyDescent="0.25">
      <c r="A179" t="s">
        <v>47</v>
      </c>
      <c r="D179" s="24"/>
      <c r="E179" s="24"/>
      <c r="F179" s="24"/>
      <c r="G179" s="24"/>
      <c r="H179" s="24"/>
      <c r="I179" s="24"/>
    </row>
    <row r="180" spans="1:9" x14ac:dyDescent="0.25">
      <c r="A180" t="s">
        <v>122</v>
      </c>
      <c r="D180" s="24"/>
      <c r="E180" s="24"/>
      <c r="F180" s="24"/>
      <c r="G180" s="24"/>
      <c r="H180" s="24"/>
      <c r="I180" s="24"/>
    </row>
    <row r="181" spans="1:9" x14ac:dyDescent="0.25">
      <c r="A181" t="s">
        <v>123</v>
      </c>
      <c r="D181" s="24"/>
      <c r="E181" s="24"/>
      <c r="F181" s="24"/>
      <c r="G181" s="24"/>
      <c r="H181" s="24"/>
      <c r="I181" s="24"/>
    </row>
    <row r="182" spans="1:9" x14ac:dyDescent="0.25">
      <c r="A182" t="s">
        <v>124</v>
      </c>
      <c r="D182" s="24"/>
      <c r="E182" s="24"/>
      <c r="F182" s="24"/>
      <c r="G182" s="24"/>
      <c r="H182" s="24"/>
      <c r="I182" s="24"/>
    </row>
    <row r="183" spans="1:9" x14ac:dyDescent="0.25">
      <c r="A183" t="s">
        <v>125</v>
      </c>
      <c r="D183" s="24"/>
      <c r="E183" s="24"/>
      <c r="F183" s="24"/>
      <c r="G183" s="24"/>
      <c r="H183" s="24"/>
      <c r="I183" s="24"/>
    </row>
    <row r="184" spans="1:9" x14ac:dyDescent="0.25">
      <c r="A184" t="s">
        <v>126</v>
      </c>
      <c r="D184" s="24"/>
      <c r="E184" s="24"/>
      <c r="F184" s="24"/>
      <c r="G184" s="24"/>
      <c r="H184" s="24"/>
      <c r="I184" s="24"/>
    </row>
    <row r="185" spans="1:9" x14ac:dyDescent="0.25">
      <c r="A185" t="s">
        <v>127</v>
      </c>
      <c r="D185" s="24"/>
      <c r="E185" s="24"/>
      <c r="F185" s="24"/>
      <c r="G185" s="24"/>
      <c r="H185" s="24"/>
      <c r="I185" s="24"/>
    </row>
    <row r="186" spans="1:9" x14ac:dyDescent="0.25">
      <c r="D186" s="24"/>
      <c r="E186" s="24"/>
      <c r="F186" s="24"/>
      <c r="G186" s="24"/>
      <c r="H186" s="24"/>
      <c r="I186" s="24"/>
    </row>
    <row r="187" spans="1:9" x14ac:dyDescent="0.25">
      <c r="A187" t="s">
        <v>26</v>
      </c>
      <c r="D187" s="24"/>
      <c r="E187" s="24"/>
      <c r="F187" s="24"/>
      <c r="G187" s="24"/>
      <c r="H187" s="24"/>
      <c r="I187" s="24"/>
    </row>
    <row r="188" spans="1:9" x14ac:dyDescent="0.25">
      <c r="A188" t="s">
        <v>128</v>
      </c>
      <c r="D188" s="24"/>
      <c r="E188" s="24"/>
      <c r="F188" s="24"/>
      <c r="G188" s="24"/>
      <c r="H188" s="24"/>
      <c r="I188" s="24"/>
    </row>
    <row r="189" spans="1:9" x14ac:dyDescent="0.25">
      <c r="A189" t="s">
        <v>129</v>
      </c>
      <c r="D189" s="24"/>
      <c r="E189" s="24"/>
      <c r="F189" s="24"/>
      <c r="G189" s="24"/>
      <c r="H189" s="24"/>
      <c r="I189" s="24"/>
    </row>
    <row r="190" spans="1:9" x14ac:dyDescent="0.25">
      <c r="A190" t="s">
        <v>130</v>
      </c>
      <c r="D190" s="24"/>
      <c r="E190" s="24"/>
      <c r="F190" s="24"/>
      <c r="G190" s="24"/>
      <c r="H190" s="24"/>
      <c r="I190" s="24"/>
    </row>
    <row r="191" spans="1:9" x14ac:dyDescent="0.25">
      <c r="A191" t="s">
        <v>127</v>
      </c>
      <c r="D191" s="24"/>
      <c r="E191" s="24"/>
      <c r="F191" s="24"/>
      <c r="G191" s="24"/>
      <c r="H191" s="24"/>
      <c r="I191" s="24"/>
    </row>
    <row r="192" spans="1:9" x14ac:dyDescent="0.25">
      <c r="D192" s="24"/>
      <c r="E192" s="24"/>
      <c r="F192" s="24"/>
      <c r="G192" s="24"/>
      <c r="H192" s="24"/>
      <c r="I192" s="24"/>
    </row>
    <row r="193" spans="1:17" x14ac:dyDescent="0.25">
      <c r="A193" t="s">
        <v>121</v>
      </c>
      <c r="D193" s="24"/>
      <c r="E193" s="24"/>
      <c r="F193" s="24"/>
      <c r="G193" s="24"/>
      <c r="H193" s="24"/>
      <c r="I193" s="24"/>
    </row>
    <row r="194" spans="1:17" x14ac:dyDescent="0.25">
      <c r="C194" t="s">
        <v>141</v>
      </c>
      <c r="D194" t="s">
        <v>142</v>
      </c>
      <c r="E194" t="s">
        <v>131</v>
      </c>
      <c r="F194" t="s">
        <v>132</v>
      </c>
      <c r="G194" t="s">
        <v>133</v>
      </c>
      <c r="H194" t="s">
        <v>134</v>
      </c>
      <c r="I194" t="s">
        <v>135</v>
      </c>
      <c r="J194" t="s">
        <v>136</v>
      </c>
      <c r="K194" t="s">
        <v>137</v>
      </c>
      <c r="L194" t="s">
        <v>138</v>
      </c>
      <c r="M194" t="s">
        <v>139</v>
      </c>
      <c r="N194" t="s">
        <v>140</v>
      </c>
      <c r="O194" t="s">
        <v>141</v>
      </c>
      <c r="P194" t="s">
        <v>142</v>
      </c>
    </row>
    <row r="195" spans="1:17" x14ac:dyDescent="0.25">
      <c r="B195" t="s">
        <v>8</v>
      </c>
      <c r="C195" s="7">
        <f>0.18*600000</f>
        <v>108000</v>
      </c>
      <c r="D195" s="7">
        <f>0.2*600000</f>
        <v>120000</v>
      </c>
      <c r="E195" s="7">
        <f>0.1*600000</f>
        <v>60000</v>
      </c>
      <c r="F195" s="7">
        <f>0.06*600000</f>
        <v>36000</v>
      </c>
      <c r="G195" s="7">
        <f>0.05*600000</f>
        <v>30000</v>
      </c>
      <c r="H195" s="7">
        <f>0.04*600000</f>
        <v>24000</v>
      </c>
      <c r="I195" s="7">
        <f>0.03*600000</f>
        <v>18000</v>
      </c>
      <c r="J195" s="7">
        <f>0.02*600000</f>
        <v>12000</v>
      </c>
      <c r="K195" s="7">
        <f>0.01*600000</f>
        <v>6000</v>
      </c>
      <c r="L195" s="7">
        <f>0.07*600000</f>
        <v>42000.000000000007</v>
      </c>
      <c r="M195" s="7">
        <f>0.08*600000</f>
        <v>48000</v>
      </c>
      <c r="N195" s="7">
        <f>0.16*600000</f>
        <v>96000</v>
      </c>
      <c r="O195" s="7">
        <f>0.18*600000</f>
        <v>108000</v>
      </c>
      <c r="P195" s="7">
        <f>0.2*600000</f>
        <v>120000</v>
      </c>
    </row>
    <row r="196" spans="1:17" x14ac:dyDescent="0.25">
      <c r="B196" t="s">
        <v>143</v>
      </c>
      <c r="C196" s="7">
        <f t="shared" ref="C196" si="0">C195*1.21</f>
        <v>130680</v>
      </c>
      <c r="D196" s="7">
        <f t="shared" ref="D196" si="1">D195*1.21</f>
        <v>145200</v>
      </c>
      <c r="E196" s="7">
        <f>E195*1.21</f>
        <v>72600</v>
      </c>
      <c r="F196" s="7">
        <f t="shared" ref="F196:P196" si="2">F195*1.21</f>
        <v>43560</v>
      </c>
      <c r="G196" s="7">
        <f t="shared" si="2"/>
        <v>36300</v>
      </c>
      <c r="H196" s="7">
        <f t="shared" si="2"/>
        <v>29040</v>
      </c>
      <c r="I196" s="7">
        <f t="shared" si="2"/>
        <v>21780</v>
      </c>
      <c r="J196" s="7">
        <f t="shared" si="2"/>
        <v>14520</v>
      </c>
      <c r="K196" s="7">
        <f t="shared" si="2"/>
        <v>7260</v>
      </c>
      <c r="L196" s="7">
        <f t="shared" si="2"/>
        <v>50820.000000000007</v>
      </c>
      <c r="M196" s="7">
        <f t="shared" si="2"/>
        <v>58080</v>
      </c>
      <c r="N196" s="7">
        <f t="shared" si="2"/>
        <v>116160</v>
      </c>
      <c r="O196" s="7">
        <f t="shared" si="2"/>
        <v>130680</v>
      </c>
      <c r="P196" s="7">
        <f t="shared" si="2"/>
        <v>145200</v>
      </c>
    </row>
    <row r="197" spans="1:17" x14ac:dyDescent="0.25">
      <c r="B197" t="s">
        <v>144</v>
      </c>
      <c r="C197" s="7"/>
      <c r="D197" s="7"/>
      <c r="E197" s="7">
        <f>C196</f>
        <v>130680</v>
      </c>
      <c r="F197" s="7">
        <f>D196</f>
        <v>145200</v>
      </c>
      <c r="G197" s="7">
        <f>E196</f>
        <v>72600</v>
      </c>
      <c r="H197" s="7">
        <f t="shared" ref="H197:P197" si="3">F196</f>
        <v>43560</v>
      </c>
      <c r="I197" s="7">
        <f t="shared" si="3"/>
        <v>36300</v>
      </c>
      <c r="J197" s="7">
        <f t="shared" si="3"/>
        <v>29040</v>
      </c>
      <c r="K197" s="7">
        <f t="shared" si="3"/>
        <v>21780</v>
      </c>
      <c r="L197" s="7">
        <f t="shared" si="3"/>
        <v>14520</v>
      </c>
      <c r="M197" s="7">
        <f t="shared" si="3"/>
        <v>7260</v>
      </c>
      <c r="N197" s="7">
        <f t="shared" si="3"/>
        <v>50820.000000000007</v>
      </c>
      <c r="O197" s="7">
        <f t="shared" si="3"/>
        <v>58080</v>
      </c>
      <c r="P197" s="7">
        <f t="shared" si="3"/>
        <v>116160</v>
      </c>
      <c r="Q197" s="7"/>
    </row>
    <row r="198" spans="1:17" x14ac:dyDescent="0.25">
      <c r="D198" s="24"/>
      <c r="E198" s="24"/>
      <c r="F198" s="24"/>
      <c r="G198" s="24"/>
      <c r="H198" s="24"/>
      <c r="I198" s="24"/>
    </row>
    <row r="199" spans="1:17" x14ac:dyDescent="0.25">
      <c r="B199" t="s">
        <v>145</v>
      </c>
      <c r="D199" s="24" t="s">
        <v>146</v>
      </c>
      <c r="E199" s="24">
        <f>E197+F197+G197</f>
        <v>348480</v>
      </c>
      <c r="F199" s="24"/>
      <c r="G199" s="24"/>
      <c r="H199" s="24"/>
      <c r="I199" s="24"/>
    </row>
    <row r="200" spans="1:17" x14ac:dyDescent="0.25">
      <c r="D200" s="24" t="s">
        <v>147</v>
      </c>
      <c r="E200" s="24">
        <f>H197+I197+J197</f>
        <v>108900</v>
      </c>
      <c r="F200" s="24"/>
      <c r="G200" s="24"/>
      <c r="H200" s="24"/>
      <c r="I200" s="24"/>
    </row>
    <row r="201" spans="1:17" x14ac:dyDescent="0.25">
      <c r="D201" s="24" t="s">
        <v>148</v>
      </c>
      <c r="E201" s="24">
        <f>K197+L197+M197</f>
        <v>43560</v>
      </c>
      <c r="F201" s="24"/>
      <c r="G201" s="24"/>
      <c r="H201" s="24"/>
      <c r="I201" s="24"/>
    </row>
    <row r="202" spans="1:17" x14ac:dyDescent="0.25">
      <c r="D202" s="24" t="s">
        <v>149</v>
      </c>
      <c r="E202" s="24">
        <f>N197+O197+P197</f>
        <v>225060</v>
      </c>
      <c r="F202" s="24"/>
      <c r="G202" s="24"/>
      <c r="H202" s="24"/>
      <c r="I202" s="24"/>
    </row>
    <row r="203" spans="1:17" x14ac:dyDescent="0.25">
      <c r="D203" s="24"/>
      <c r="E203" s="24"/>
      <c r="F203" s="24"/>
      <c r="G203" s="24"/>
      <c r="H203" s="24"/>
      <c r="I203" s="24"/>
    </row>
    <row r="204" spans="1:17" x14ac:dyDescent="0.25">
      <c r="A204" t="s">
        <v>150</v>
      </c>
      <c r="D204" s="24"/>
      <c r="E204" s="24"/>
      <c r="F204" s="24"/>
      <c r="G204" s="24"/>
      <c r="H204" s="24"/>
      <c r="I204" s="24"/>
    </row>
    <row r="205" spans="1:17" x14ac:dyDescent="0.25">
      <c r="D205" s="24" t="s">
        <v>146</v>
      </c>
      <c r="E205" s="24" t="s">
        <v>147</v>
      </c>
      <c r="F205" s="24" t="s">
        <v>148</v>
      </c>
      <c r="G205" s="24" t="s">
        <v>151</v>
      </c>
      <c r="H205" s="24"/>
      <c r="I205" s="24"/>
    </row>
    <row r="206" spans="1:17" x14ac:dyDescent="0.25">
      <c r="A206" t="s">
        <v>152</v>
      </c>
      <c r="D206" s="24">
        <v>451000</v>
      </c>
      <c r="E206" s="24">
        <v>385000</v>
      </c>
      <c r="F206" s="24">
        <v>322000</v>
      </c>
      <c r="G206" s="24">
        <v>377000</v>
      </c>
      <c r="H206" s="24"/>
      <c r="I206" s="24"/>
      <c r="J206" s="24"/>
    </row>
    <row r="207" spans="1:17" x14ac:dyDescent="0.25">
      <c r="A207" t="s">
        <v>153</v>
      </c>
      <c r="D207" s="24"/>
      <c r="E207" s="24"/>
      <c r="F207" s="24"/>
      <c r="G207" s="24"/>
      <c r="H207" s="24"/>
      <c r="I207" s="24"/>
    </row>
    <row r="208" spans="1:17" x14ac:dyDescent="0.25">
      <c r="A208" t="s">
        <v>154</v>
      </c>
      <c r="D208" s="24">
        <v>354000</v>
      </c>
      <c r="E208" s="24">
        <v>295000</v>
      </c>
      <c r="F208" s="24">
        <v>222000</v>
      </c>
      <c r="G208" s="24">
        <v>282000</v>
      </c>
      <c r="H208" s="24"/>
      <c r="I208" s="24"/>
    </row>
    <row r="209" spans="1:9" x14ac:dyDescent="0.25">
      <c r="A209" t="s">
        <v>155</v>
      </c>
      <c r="D209" s="24">
        <f>3*12000</f>
        <v>36000</v>
      </c>
      <c r="E209" s="24">
        <f>3*12000</f>
        <v>36000</v>
      </c>
      <c r="F209" s="24">
        <f>3*12000</f>
        <v>36000</v>
      </c>
      <c r="G209" s="24">
        <f>3*12000</f>
        <v>36000</v>
      </c>
      <c r="H209" s="24"/>
      <c r="I209" s="24"/>
    </row>
    <row r="210" spans="1:9" x14ac:dyDescent="0.25">
      <c r="A210" t="s">
        <v>156</v>
      </c>
      <c r="D210" s="24"/>
      <c r="E210" s="24">
        <f>0.075*12*12000</f>
        <v>10799.999999999998</v>
      </c>
      <c r="F210" s="24"/>
      <c r="G210" s="24"/>
      <c r="H210" s="24"/>
      <c r="I210" s="24"/>
    </row>
    <row r="211" spans="1:9" x14ac:dyDescent="0.25">
      <c r="A211" t="s">
        <v>157</v>
      </c>
      <c r="D211" s="24">
        <f>D209*0.32</f>
        <v>11520</v>
      </c>
      <c r="E211" s="24">
        <f>0.32*(E209+E210)</f>
        <v>14976</v>
      </c>
      <c r="F211" s="24">
        <f>F209*0.32</f>
        <v>11520</v>
      </c>
      <c r="G211" s="24">
        <f>G209*0.32</f>
        <v>11520</v>
      </c>
      <c r="H211" s="24"/>
      <c r="I211" s="24"/>
    </row>
    <row r="212" spans="1:9" x14ac:dyDescent="0.25">
      <c r="A212" t="s">
        <v>158</v>
      </c>
      <c r="D212" s="24"/>
      <c r="E212" s="24">
        <v>68000</v>
      </c>
      <c r="F212" s="24"/>
      <c r="G212" s="24"/>
      <c r="H212" s="24"/>
      <c r="I212" s="24"/>
    </row>
    <row r="213" spans="1:9" x14ac:dyDescent="0.25">
      <c r="A213" t="s">
        <v>159</v>
      </c>
      <c r="D213" s="24"/>
      <c r="E213" s="24"/>
      <c r="F213" s="24">
        <v>60000</v>
      </c>
      <c r="G213" s="24"/>
      <c r="H213" s="24"/>
      <c r="I213" s="24"/>
    </row>
    <row r="214" spans="1:9" x14ac:dyDescent="0.25">
      <c r="A214" t="s">
        <v>160</v>
      </c>
      <c r="D214" s="24">
        <f>0.7*70000</f>
        <v>49000</v>
      </c>
      <c r="E214" s="24">
        <f>0.3*70000</f>
        <v>21000</v>
      </c>
      <c r="F214" s="24"/>
      <c r="G214" s="24"/>
      <c r="H214" s="24"/>
      <c r="I214" s="24"/>
    </row>
    <row r="215" spans="1:9" x14ac:dyDescent="0.25">
      <c r="A215" t="s">
        <v>161</v>
      </c>
      <c r="D215" s="24">
        <f>3*4000</f>
        <v>12000</v>
      </c>
      <c r="E215" s="24">
        <f t="shared" ref="E215:G215" si="4">3*4000</f>
        <v>12000</v>
      </c>
      <c r="F215" s="24">
        <f t="shared" si="4"/>
        <v>12000</v>
      </c>
      <c r="G215" s="24">
        <f t="shared" si="4"/>
        <v>12000</v>
      </c>
      <c r="H215" s="24"/>
      <c r="I215" s="24"/>
    </row>
    <row r="216" spans="1:9" x14ac:dyDescent="0.25">
      <c r="A216" t="s">
        <v>162</v>
      </c>
      <c r="D216" s="24">
        <f>3*500</f>
        <v>1500</v>
      </c>
      <c r="E216" s="24">
        <f t="shared" ref="E216:G216" si="5">3*500</f>
        <v>1500</v>
      </c>
      <c r="F216" s="24">
        <f t="shared" si="5"/>
        <v>1500</v>
      </c>
      <c r="G216" s="24">
        <f t="shared" si="5"/>
        <v>1500</v>
      </c>
      <c r="H216" s="24"/>
      <c r="I216" s="24"/>
    </row>
    <row r="217" spans="1:9" x14ac:dyDescent="0.25">
      <c r="A217" t="s">
        <v>163</v>
      </c>
      <c r="D217" s="12">
        <f>3000*3</f>
        <v>9000</v>
      </c>
      <c r="E217" s="12">
        <f t="shared" ref="E217:G217" si="6">3000*3</f>
        <v>9000</v>
      </c>
      <c r="F217" s="12">
        <f t="shared" si="6"/>
        <v>9000</v>
      </c>
      <c r="G217" s="12">
        <f t="shared" si="6"/>
        <v>9000</v>
      </c>
    </row>
    <row r="218" spans="1:9" x14ac:dyDescent="0.25">
      <c r="A218" t="s">
        <v>165</v>
      </c>
      <c r="D218" s="24">
        <f>SUM(D208:D217)</f>
        <v>473020</v>
      </c>
      <c r="E218" s="24">
        <f t="shared" ref="E218:G218" si="7">SUM(E208:E217)</f>
        <v>468276</v>
      </c>
      <c r="F218" s="24">
        <f t="shared" si="7"/>
        <v>352020</v>
      </c>
      <c r="G218" s="24">
        <f t="shared" si="7"/>
        <v>352020</v>
      </c>
    </row>
    <row r="220" spans="1:9" x14ac:dyDescent="0.25">
      <c r="A220" t="s">
        <v>164</v>
      </c>
      <c r="D220" s="24">
        <f>D206-D218</f>
        <v>-22020</v>
      </c>
      <c r="E220" s="24">
        <f t="shared" ref="E220:G220" si="8">E206-E218</f>
        <v>-83276</v>
      </c>
      <c r="F220" s="24">
        <f t="shared" si="8"/>
        <v>-30020</v>
      </c>
      <c r="G220" s="24">
        <f t="shared" si="8"/>
        <v>24980</v>
      </c>
    </row>
    <row r="221" spans="1:9" x14ac:dyDescent="0.25">
      <c r="A221" t="s">
        <v>166</v>
      </c>
      <c r="D221" s="12">
        <v>100000</v>
      </c>
      <c r="E221" s="25">
        <f>D222</f>
        <v>77980</v>
      </c>
      <c r="F221" s="25">
        <f>E224</f>
        <v>10000</v>
      </c>
      <c r="G221" s="25">
        <f>F224</f>
        <v>10000</v>
      </c>
    </row>
    <row r="222" spans="1:9" x14ac:dyDescent="0.25">
      <c r="A222" t="s">
        <v>167</v>
      </c>
      <c r="D222" s="24">
        <f>D220+D221</f>
        <v>77980</v>
      </c>
      <c r="E222" s="24">
        <f>E220+E221</f>
        <v>-5296</v>
      </c>
      <c r="F222" s="24">
        <f>F220+F221</f>
        <v>-20020</v>
      </c>
      <c r="G222" s="24">
        <f>G220+G221</f>
        <v>34980</v>
      </c>
    </row>
    <row r="223" spans="1:9" x14ac:dyDescent="0.25">
      <c r="A223" t="s">
        <v>171</v>
      </c>
      <c r="E223" s="25">
        <f>10000-E222</f>
        <v>15296</v>
      </c>
      <c r="F223" s="25">
        <f>10000-F222</f>
        <v>30020</v>
      </c>
      <c r="G223" s="25">
        <f>10000-G222</f>
        <v>-24980</v>
      </c>
    </row>
    <row r="224" spans="1:9" x14ac:dyDescent="0.25">
      <c r="A224" t="s">
        <v>167</v>
      </c>
      <c r="E224" s="24">
        <f>E222+E223</f>
        <v>10000</v>
      </c>
      <c r="F224" s="24">
        <f>SUM(F222:F223)</f>
        <v>10000</v>
      </c>
      <c r="G224" s="24">
        <f>G222+G223</f>
        <v>10000</v>
      </c>
    </row>
    <row r="226" spans="1:7" x14ac:dyDescent="0.25">
      <c r="A226" t="s">
        <v>169</v>
      </c>
      <c r="D226">
        <v>0</v>
      </c>
      <c r="E226">
        <f>D228</f>
        <v>0</v>
      </c>
      <c r="F226" s="24">
        <f>E228</f>
        <v>15296</v>
      </c>
      <c r="G226" s="24">
        <f>F228</f>
        <v>45316</v>
      </c>
    </row>
    <row r="227" spans="1:7" x14ac:dyDescent="0.25">
      <c r="A227" t="s">
        <v>168</v>
      </c>
      <c r="D227" s="12">
        <v>0</v>
      </c>
      <c r="E227" s="25">
        <f>E223</f>
        <v>15296</v>
      </c>
      <c r="F227" s="25">
        <f>F223</f>
        <v>30020</v>
      </c>
      <c r="G227" s="25">
        <f>G223</f>
        <v>-24980</v>
      </c>
    </row>
    <row r="228" spans="1:7" x14ac:dyDescent="0.25">
      <c r="A228" t="s">
        <v>170</v>
      </c>
      <c r="D228">
        <f>D226+D227</f>
        <v>0</v>
      </c>
      <c r="E228" s="24">
        <f>E226+E227</f>
        <v>15296</v>
      </c>
      <c r="F228" s="24">
        <f>F226+F227</f>
        <v>45316</v>
      </c>
      <c r="G228" s="24">
        <f>G226+G227</f>
        <v>20336</v>
      </c>
    </row>
    <row r="230" spans="1:7" x14ac:dyDescent="0.25">
      <c r="A230" t="s">
        <v>172</v>
      </c>
    </row>
    <row r="231" spans="1:7" x14ac:dyDescent="0.25">
      <c r="A231" t="s">
        <v>173</v>
      </c>
    </row>
    <row r="232" spans="1:7" x14ac:dyDescent="0.25">
      <c r="A232" t="s">
        <v>174</v>
      </c>
    </row>
    <row r="233" spans="1:7" x14ac:dyDescent="0.25">
      <c r="A233" t="s">
        <v>175</v>
      </c>
    </row>
    <row r="235" spans="1:7" x14ac:dyDescent="0.25">
      <c r="A235" t="s">
        <v>176</v>
      </c>
    </row>
    <row r="236" spans="1:7" x14ac:dyDescent="0.25">
      <c r="A236" t="s">
        <v>177</v>
      </c>
    </row>
    <row r="237" spans="1:7" x14ac:dyDescent="0.25">
      <c r="A237" t="s">
        <v>178</v>
      </c>
    </row>
    <row r="238" spans="1:7" x14ac:dyDescent="0.25">
      <c r="A238" t="s">
        <v>179</v>
      </c>
    </row>
    <row r="239" spans="1:7" x14ac:dyDescent="0.25">
      <c r="A239" t="s">
        <v>127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Stenden Hogeschool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Greetje Krijgsheld</dc:creator>
  <cp:lastModifiedBy>Greetje Krijgsheld</cp:lastModifiedBy>
  <dcterms:created xsi:type="dcterms:W3CDTF">2015-11-30T11:15:59Z</dcterms:created>
  <dcterms:modified xsi:type="dcterms:W3CDTF">2015-11-30T15:01:26Z</dcterms:modified>
</cp:coreProperties>
</file>